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0372"/>
  <workbookPr filterPrivacy="1"/>
  <bookViews>
    <workbookView xWindow="0" yWindow="0" windowWidth="22260" windowHeight="12645" activeTab="0"/>
  </bookViews>
  <sheets>
    <sheet name="Лист1" sheetId="1" r:id="rId2"/>
  </sheets>
  <definedNames>
    <definedName name="_xlnm.Print_Titles" localSheetId="0">Лист1!$8:$8</definedName>
    <definedName name="_xlnm.Print_Area" localSheetId="0">Лист1!$A$1:$R$56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1" i="1" l="1"/>
</calcChain>
</file>

<file path=xl/sharedStrings.xml><?xml version="1.0" encoding="utf-8"?>
<sst xmlns="http://schemas.openxmlformats.org/spreadsheetml/2006/main" count="108" uniqueCount="99">
  <si>
    <t xml:space="preserve">СВОДКА ЗАТРАТ </t>
  </si>
  <si>
    <t>(наименование стройки)</t>
  </si>
  <si>
    <t>Оборудование, мебель и инвентарь</t>
  </si>
  <si>
    <t>Прочие затраты</t>
  </si>
  <si>
    <t>НДС</t>
  </si>
  <si>
    <t>Материал Заказчика</t>
  </si>
  <si>
    <t>Непредвиденные затраты 3 %</t>
  </si>
  <si>
    <t>Итого с непредвиденными</t>
  </si>
  <si>
    <t>Итого с НДС</t>
  </si>
  <si>
    <t>Итого по ЛСР</t>
  </si>
  <si>
    <t>№ ЛСР</t>
  </si>
  <si>
    <t xml:space="preserve">Наименование работ и затрат </t>
  </si>
  <si>
    <t>Итого по этапам</t>
  </si>
  <si>
    <t xml:space="preserve">«Реконструкция водоочистных сооружений Жуковской НФС с совершенствованием технологии водоподготовки. Замена метода обеззараживания очищаемой воды» </t>
  </si>
  <si>
    <t>Шифр:  565/2019</t>
  </si>
  <si>
    <t>Этап №1</t>
  </si>
  <si>
    <t>Итого с зимним удорожанием</t>
  </si>
  <si>
    <t>Строительные работы</t>
  </si>
  <si>
    <t>Монтажные работы</t>
  </si>
  <si>
    <t>Оборудование Заказчика</t>
  </si>
  <si>
    <t>01-01-01</t>
  </si>
  <si>
    <t>01-01-02</t>
  </si>
  <si>
    <t>Демонтажные работы. Наружные сети водоснабжения. В1-Водопровод хозяйственно-питьевой противопожарный</t>
  </si>
  <si>
    <t>Разбивка трассы</t>
  </si>
  <si>
    <t>02-01-01</t>
  </si>
  <si>
    <t>Архитектурные решения</t>
  </si>
  <si>
    <t>02-01-02</t>
  </si>
  <si>
    <t>Конструктивные и объемно- планировочные решения</t>
  </si>
  <si>
    <t>02-01-03</t>
  </si>
  <si>
    <t>02-01-04</t>
  </si>
  <si>
    <t>02-01-05</t>
  </si>
  <si>
    <t>02-01-06</t>
  </si>
  <si>
    <t>02-01-07</t>
  </si>
  <si>
    <t>02-01-08</t>
  </si>
  <si>
    <t>02-01-09</t>
  </si>
  <si>
    <t>02-01-10</t>
  </si>
  <si>
    <t>02-01-11</t>
  </si>
  <si>
    <t>02-01-12</t>
  </si>
  <si>
    <t>Отопление, вентиляция и кондиционирование воздуха, тепловые сети</t>
  </si>
  <si>
    <t>Сети связи</t>
  </si>
  <si>
    <t>Здание обеззараживания воды (тит.0001). Помещение №2. I этап строительства.</t>
  </si>
  <si>
    <t>Силовое электрооборудование и электроосвещение.</t>
  </si>
  <si>
    <t>Автоматическая установка пожарной сигнализации. Система оповещения и управления эвакуацией людей при пожаре.</t>
  </si>
  <si>
    <t>Внутренние сети производственной канализации К-3</t>
  </si>
  <si>
    <t>Внутренние сети водоснабжения</t>
  </si>
  <si>
    <t>Автоматизация комплексная</t>
  </si>
  <si>
    <t>Строительные работы в существующем здании</t>
  </si>
  <si>
    <t>Совмещенная эстакада</t>
  </si>
  <si>
    <t>04-01-01</t>
  </si>
  <si>
    <t>04-01-02</t>
  </si>
  <si>
    <t>04-01-03</t>
  </si>
  <si>
    <t>04-01-04</t>
  </si>
  <si>
    <t>Воздушная линия 10 кВ</t>
  </si>
  <si>
    <t>Кабельная линия 10 кВ</t>
  </si>
  <si>
    <t>Блочная комплектная трансформаторная подстанция-1000/10/0,4</t>
  </si>
  <si>
    <t>Электрокабельная эстакада</t>
  </si>
  <si>
    <t>05-01-01</t>
  </si>
  <si>
    <t>05-01-02</t>
  </si>
  <si>
    <t>Автоматизация комплексная. Наружная прокладка кабеля</t>
  </si>
  <si>
    <t>Наружные сети связи</t>
  </si>
  <si>
    <t>06-01-01</t>
  </si>
  <si>
    <t>06-01-02</t>
  </si>
  <si>
    <t>06-01-03</t>
  </si>
  <si>
    <t>06-01-04</t>
  </si>
  <si>
    <t>Наружные сети водоснабжения. В1-Водопровод хозяйственно-питьевой противопожарный</t>
  </si>
  <si>
    <t>Наружные сети водоотведения. К3-канализация производственная</t>
  </si>
  <si>
    <t>Наружные сети водоотведения. К2 - канализация дождевая.</t>
  </si>
  <si>
    <t>Подземная емкость. Поз.0002.  I этап строительства.</t>
  </si>
  <si>
    <t>07-01-01</t>
  </si>
  <si>
    <t>Благоустройство</t>
  </si>
  <si>
    <t>Временные здания и сооружения 3,04%</t>
  </si>
  <si>
    <t>09-01-01</t>
  </si>
  <si>
    <t>09-01-02</t>
  </si>
  <si>
    <t>09-01-03</t>
  </si>
  <si>
    <t>Пуско-наладочные работы. Электроснабжение</t>
  </si>
  <si>
    <t>Пуско-наладочные работы ОВ</t>
  </si>
  <si>
    <t>Итого по этапу №1</t>
  </si>
  <si>
    <t>Зимнее удорожание 3,84%</t>
  </si>
  <si>
    <t>Этап №2</t>
  </si>
  <si>
    <t>Итого по этапу №2</t>
  </si>
  <si>
    <t>Строительные и монтажные работы</t>
  </si>
  <si>
    <t>Итого</t>
  </si>
  <si>
    <t>Демонтаж при ликвидации хлораторной</t>
  </si>
  <si>
    <t>Здание обеззараживания воды (тит.0001). Помещение №1 (Склад). II этап строительства.</t>
  </si>
  <si>
    <t>Здание обеззараживания воды (тит.0001). Помещение №4. II этап строительства.</t>
  </si>
  <si>
    <t>Технологические трубопроводы на совмещенной эстакаде. II этап строительства.</t>
  </si>
  <si>
    <t>Технологические трубопроводы в существующем здании. Поз.0006.  II этап строительства.</t>
  </si>
  <si>
    <t>Электрообогрев</t>
  </si>
  <si>
    <t>09-01-04</t>
  </si>
  <si>
    <t>Пуско-наладочные работы ТХ  (краны)</t>
  </si>
  <si>
    <t>Пуско-наладочные работы ТХ (Установка по приготовлению и дозирования гипохлорита натрия (565/2019-П-ОЛ-ГПХН)</t>
  </si>
  <si>
    <t>ПНР установки УФО 2 этап</t>
  </si>
  <si>
    <t>Приложение №2
к   Договору  подряда  № ______________ от "_____"_____________2022 г.</t>
  </si>
  <si>
    <t>ЗАКАЗЧИК:</t>
  </si>
  <si>
    <t>ПОДРЯДЧИК:</t>
  </si>
  <si>
    <t xml:space="preserve">Директор АО «СУЭНКО» </t>
  </si>
  <si>
    <t>___________________Д.И. Анучин</t>
  </si>
  <si>
    <t>Директор ООО ГК «СПЕЦМАШ»</t>
  </si>
  <si>
    <t>___________________А.Е. Новичков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</si>
</sst>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8EA"/>
        <bgColor indexed="64"/>
      </patternFill>
    </fill>
    <fill>
      <patternFill patternType="solid">
        <fgColor theme="7" tint="0.59999001026153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0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4" fontId="8" fillId="3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/>
    </xf>
    <xf numFmtId="0" fontId="5" fillId="0" borderId="0" xfId="0" applyFont="1" applyFill="1" applyAlignment="1">
      <alignment vertical="top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0" fontId="6" fillId="6" borderId="3" xfId="0" applyFont="1" applyFill="1" applyBorder="1" applyAlignment="1">
      <alignment horizontal="right" vertical="center"/>
    </xf>
    <xf numFmtId="0" fontId="6" fillId="6" borderId="4" xfId="0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Font="1"/>
    <xf numFmtId="4" fontId="1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0" fontId="7" fillId="2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44" fontId="4" fillId="0" borderId="5" xfId="2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13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right"/>
    </xf>
    <xf numFmtId="0" fontId="11" fillId="0" borderId="0" xfId="0" applyFont="1" applyAlignment="1">
      <alignment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Денежный" xfId="20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calcChain" Target="calcChain.xml" /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8"/>
  <sheetViews>
    <sheetView tabSelected="1" view="pageBreakPreview" zoomScale="85" zoomScaleNormal="100" zoomScaleSheetLayoutView="85" workbookViewId="0" topLeftCell="A1">
      <selection pane="topLeft" activeCell="I82" sqref="I82"/>
    </sheetView>
  </sheetViews>
  <sheetFormatPr defaultRowHeight="15"/>
  <cols>
    <col min="1" max="1" width="12.2857142857143" style="1" customWidth="1"/>
    <col min="2" max="2" width="29.8571428571429" style="1" customWidth="1"/>
    <col min="3" max="3" width="13.2857142857143" style="1" hidden="1" customWidth="1"/>
    <col min="4" max="4" width="13.4285714285714" style="1" hidden="1" customWidth="1"/>
    <col min="5" max="6" width="13.4285714285714" style="1" customWidth="1"/>
    <col min="7" max="7" width="11.8571428571429" style="1" customWidth="1"/>
    <col min="8" max="8" width="13" style="1" customWidth="1"/>
    <col min="9" max="9" width="12.8571428571429" style="1" customWidth="1"/>
    <col min="10" max="10" width="14.4285714285714" style="1" customWidth="1"/>
    <col min="11" max="11" width="13.8571428571429" style="1" customWidth="1"/>
    <col min="12" max="13" width="13.2857142857143" style="1" customWidth="1"/>
    <col min="14" max="14" width="13.4285714285714" style="1" customWidth="1"/>
    <col min="15" max="15" width="14.4285714285714" style="1" customWidth="1"/>
    <col min="16" max="16" width="13.4285714285714" style="1" customWidth="1"/>
    <col min="17" max="17" width="13.2857142857143" style="1" customWidth="1"/>
    <col min="18" max="18" width="13" style="1" customWidth="1"/>
    <col min="19" max="19" width="26.8571428571429" style="13" hidden="1" customWidth="1"/>
    <col min="20" max="20" width="16" style="1" hidden="1" customWidth="1"/>
    <col min="21" max="21" width="16" style="1" customWidth="1"/>
    <col min="22" max="16384" width="9.14285714285714" style="1"/>
  </cols>
  <sheetData>
    <row r="1" spans="1:21" ht="18.75" customHeight="1">
      <c r="A1" s="42" t="s">
        <v>92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/>
      <c r="T1" s="4"/>
      <c r="U1" s="4"/>
    </row>
    <row r="2" spans="1:21" s="6" customFormat="1" ht="13.1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/>
      <c r="T2" s="5"/>
      <c r="U2" s="5"/>
    </row>
    <row r="3" spans="1:21" ht="9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/>
      <c r="T3" s="4"/>
      <c r="U3" s="4"/>
    </row>
    <row r="4" spans="1:21" ht="15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18"/>
      <c r="T4" s="18"/>
      <c r="U4" s="18"/>
    </row>
    <row r="5" spans="1:21" ht="19.5" customHeight="1">
      <c r="A5" s="38" t="s">
        <v>13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/>
      <c r="T5"/>
      <c r="U5"/>
    </row>
    <row r="6" spans="1:21" s="2" customFormat="1" ht="12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/>
      <c r="T6"/>
      <c r="U6"/>
    </row>
    <row r="7" spans="1:21" ht="17.25" customHeight="1">
      <c r="A7" s="19" t="s">
        <v>14</v>
      </c>
      <c r="B7" s="9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/>
      <c r="T7"/>
      <c r="U7"/>
    </row>
    <row r="8" spans="1:21" s="3" customFormat="1" ht="52.5" customHeight="1">
      <c r="A8" s="10" t="s">
        <v>10</v>
      </c>
      <c r="B8" s="20" t="s">
        <v>11</v>
      </c>
      <c r="C8" s="20" t="s">
        <v>17</v>
      </c>
      <c r="D8" s="20" t="s">
        <v>18</v>
      </c>
      <c r="E8" s="20" t="s">
        <v>80</v>
      </c>
      <c r="F8" s="20" t="s">
        <v>2</v>
      </c>
      <c r="G8" s="20" t="s">
        <v>3</v>
      </c>
      <c r="H8" s="20" t="s">
        <v>9</v>
      </c>
      <c r="I8" s="20" t="s">
        <v>70</v>
      </c>
      <c r="J8" s="20" t="s">
        <v>77</v>
      </c>
      <c r="K8" s="20" t="s">
        <v>16</v>
      </c>
      <c r="L8" s="20" t="s">
        <v>5</v>
      </c>
      <c r="M8" s="20" t="s">
        <v>19</v>
      </c>
      <c r="N8" s="20" t="s">
        <v>81</v>
      </c>
      <c r="O8" s="20" t="s">
        <v>6</v>
      </c>
      <c r="P8" s="20" t="s">
        <v>7</v>
      </c>
      <c r="Q8" s="20" t="s">
        <v>4</v>
      </c>
      <c r="R8" s="20" t="s">
        <v>8</v>
      </c>
      <c r="S8" s="12"/>
      <c r="T8" s="7"/>
      <c r="U8" s="7"/>
    </row>
    <row r="9" spans="1:21" s="3" customFormat="1" ht="15">
      <c r="A9" s="25" t="s">
        <v>15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7"/>
      <c r="S9" s="12"/>
      <c r="T9" s="7"/>
      <c r="U9" s="7"/>
    </row>
    <row r="10" spans="1:19" s="8" customFormat="1" ht="51.75" customHeight="1">
      <c r="A10" s="22" t="s">
        <v>20</v>
      </c>
      <c r="B10" s="11" t="s">
        <v>22</v>
      </c>
      <c r="C10" s="14">
        <v>80254</v>
      </c>
      <c r="D10" s="14"/>
      <c r="E10" s="14">
        <f>C10+D10</f>
        <v>80254</v>
      </c>
      <c r="F10" s="14"/>
      <c r="G10" s="14"/>
      <c r="H10" s="14">
        <f>SUM(E10:G10)</f>
        <v>80254</v>
      </c>
      <c r="I10" s="14">
        <f>ROUND((C10+D10)*0.0304,2)</f>
        <v>2439.7199999999998</v>
      </c>
      <c r="J10" s="14">
        <f>ROUND((C10+D10+I10)*0.0384,2)</f>
        <v>3175.4400000000001</v>
      </c>
      <c r="K10" s="14">
        <f>H10+I10+J10</f>
        <v>85869.160000000003</v>
      </c>
      <c r="L10" s="14"/>
      <c r="M10" s="14"/>
      <c r="N10" s="24">
        <f>M10+K10+L10</f>
        <v>85869.160000000003</v>
      </c>
      <c r="O10" s="14">
        <f>ROUND((K10+L10+M10)*0.03,2)</f>
        <v>2576.0700000000002</v>
      </c>
      <c r="P10" s="24">
        <f>K10+L10+M10+O10</f>
        <v>88445.23000000001</v>
      </c>
      <c r="Q10" s="14">
        <f>P10*0.2</f>
        <v>17689.046000000002</v>
      </c>
      <c r="R10" s="24">
        <f>P10+Q10</f>
        <v>106134.27600000001</v>
      </c>
      <c r="S10" s="13">
        <v>17689.049999999999</v>
      </c>
    </row>
    <row r="11" spans="1:19" s="8" customFormat="1" ht="24.75" customHeight="1">
      <c r="A11" s="22" t="s">
        <v>21</v>
      </c>
      <c r="B11" s="11" t="s">
        <v>23</v>
      </c>
      <c r="C11" s="14"/>
      <c r="D11" s="14"/>
      <c r="E11" s="14"/>
      <c r="F11" s="14"/>
      <c r="G11" s="14">
        <v>2693</v>
      </c>
      <c r="H11" s="14">
        <f t="shared" si="0" ref="H11:H36">SUM(E11:G11)</f>
        <v>2693</v>
      </c>
      <c r="I11" s="14"/>
      <c r="J11" s="14"/>
      <c r="K11" s="14">
        <f t="shared" si="1" ref="K11:K35">H11+I11+J11</f>
        <v>2693</v>
      </c>
      <c r="L11" s="14"/>
      <c r="M11" s="14"/>
      <c r="N11" s="24">
        <f t="shared" si="2" ref="N11:N36">M11+K11+L11</f>
        <v>2693</v>
      </c>
      <c r="O11" s="14">
        <f t="shared" si="3" ref="O11:O36">(K11+L11+M11)*0.03</f>
        <v>80.789999999999992</v>
      </c>
      <c r="P11" s="24">
        <f t="shared" si="4" ref="P11:P36">K11+L11+M11+O11</f>
        <v>2773.79</v>
      </c>
      <c r="Q11" s="14">
        <f t="shared" si="5" ref="Q11:Q36">P11*0.2</f>
        <v>554.75800000000004</v>
      </c>
      <c r="R11" s="24">
        <f t="shared" si="6" ref="R11:R36">P11+Q11</f>
        <v>3328.5479999999998</v>
      </c>
      <c r="S11" s="13">
        <v>554.75999999999999</v>
      </c>
    </row>
    <row r="12" spans="1:19" s="8" customFormat="1" ht="25.5" customHeight="1">
      <c r="A12" s="22" t="s">
        <v>24</v>
      </c>
      <c r="B12" s="11" t="s">
        <v>27</v>
      </c>
      <c r="C12" s="14">
        <v>9963207</v>
      </c>
      <c r="D12" s="14"/>
      <c r="E12" s="14">
        <f t="shared" si="7" ref="E12:E34">C12+D12</f>
        <v>9963207</v>
      </c>
      <c r="F12" s="14"/>
      <c r="G12" s="14"/>
      <c r="H12" s="14">
        <f t="shared" si="0"/>
        <v>9963207</v>
      </c>
      <c r="I12" s="14">
        <f t="shared" si="8" ref="I12:I34">(C12+D12)*0.0304</f>
        <v>302881.49280000001</v>
      </c>
      <c r="J12" s="14">
        <f t="shared" si="9" ref="J12:J34">(C12+D12+I12)*0.0384</f>
        <v>394217.79812351993</v>
      </c>
      <c r="K12" s="14">
        <f t="shared" si="1"/>
        <v>10660306.290923519</v>
      </c>
      <c r="L12" s="14"/>
      <c r="M12" s="14"/>
      <c r="N12" s="24">
        <f t="shared" si="2"/>
        <v>10660306.290923519</v>
      </c>
      <c r="O12" s="14">
        <f t="shared" si="3"/>
        <v>319809.18872770556</v>
      </c>
      <c r="P12" s="24">
        <f t="shared" si="4"/>
        <v>10980115.479651224</v>
      </c>
      <c r="Q12" s="14">
        <f t="shared" si="5"/>
        <v>2196023.0959302448</v>
      </c>
      <c r="R12" s="24">
        <f t="shared" si="6"/>
        <v>13176138.575581469</v>
      </c>
      <c r="S12" s="13">
        <v>2196023.1000000001</v>
      </c>
    </row>
    <row r="13" spans="1:19" s="8" customFormat="1" ht="24.75" customHeight="1">
      <c r="A13" s="22" t="s">
        <v>26</v>
      </c>
      <c r="B13" s="11" t="s">
        <v>25</v>
      </c>
      <c r="C13" s="14">
        <v>14910775</v>
      </c>
      <c r="D13" s="14">
        <v>47749</v>
      </c>
      <c r="E13" s="14">
        <f t="shared" si="7"/>
        <v>14958524</v>
      </c>
      <c r="F13" s="14"/>
      <c r="G13" s="14"/>
      <c r="H13" s="14">
        <f t="shared" si="0"/>
        <v>14958524</v>
      </c>
      <c r="I13" s="14">
        <f t="shared" si="8"/>
        <v>454739.12959999999</v>
      </c>
      <c r="J13" s="14">
        <f t="shared" si="9"/>
        <v>591869.30417663988</v>
      </c>
      <c r="K13" s="14">
        <f t="shared" si="1"/>
        <v>16005132.433776639</v>
      </c>
      <c r="L13" s="14"/>
      <c r="M13" s="14"/>
      <c r="N13" s="24">
        <f t="shared" si="2"/>
        <v>16005132.433776639</v>
      </c>
      <c r="O13" s="14">
        <f t="shared" si="3"/>
        <v>480153.97301329917</v>
      </c>
      <c r="P13" s="24">
        <f t="shared" si="4"/>
        <v>16485286.406789938</v>
      </c>
      <c r="Q13" s="14">
        <f t="shared" si="5"/>
        <v>3297057.2813579878</v>
      </c>
      <c r="R13" s="24">
        <f t="shared" si="6"/>
        <v>19782343.688147925</v>
      </c>
      <c r="S13" s="13">
        <v>3297057.2799999998</v>
      </c>
    </row>
    <row r="14" spans="1:19" s="8" customFormat="1" ht="38.25" customHeight="1">
      <c r="A14" s="22" t="s">
        <v>28</v>
      </c>
      <c r="B14" s="11" t="s">
        <v>38</v>
      </c>
      <c r="C14" s="14">
        <v>1749892</v>
      </c>
      <c r="D14" s="14">
        <v>1003812</v>
      </c>
      <c r="E14" s="14">
        <f t="shared" si="7"/>
        <v>2753704</v>
      </c>
      <c r="F14" s="14">
        <v>5602993</v>
      </c>
      <c r="G14" s="14"/>
      <c r="H14" s="14">
        <f t="shared" si="0"/>
        <v>8356697</v>
      </c>
      <c r="I14" s="14">
        <f t="shared" si="8"/>
        <v>83712.601599999995</v>
      </c>
      <c r="J14" s="14">
        <f t="shared" si="9"/>
        <v>108956.79750144</v>
      </c>
      <c r="K14" s="14">
        <f t="shared" si="1"/>
        <v>8549366.3991014399</v>
      </c>
      <c r="L14" s="14"/>
      <c r="M14" s="14"/>
      <c r="N14" s="24">
        <f t="shared" si="2"/>
        <v>8549366.3991014399</v>
      </c>
      <c r="O14" s="14">
        <f t="shared" si="3"/>
        <v>256480.99197304319</v>
      </c>
      <c r="P14" s="24">
        <f t="shared" si="4"/>
        <v>8805847.3910744824</v>
      </c>
      <c r="Q14" s="14">
        <f t="shared" si="5"/>
        <v>1761169.4782148965</v>
      </c>
      <c r="R14" s="24">
        <f t="shared" si="6"/>
        <v>10567016.86928938</v>
      </c>
      <c r="S14" s="13">
        <v>1761169.48</v>
      </c>
    </row>
    <row r="15" spans="1:19" s="8" customFormat="1" ht="34.5" customHeight="1">
      <c r="A15" s="22" t="s">
        <v>29</v>
      </c>
      <c r="B15" s="11" t="s">
        <v>39</v>
      </c>
      <c r="C15" s="14"/>
      <c r="D15" s="14">
        <v>30128</v>
      </c>
      <c r="E15" s="14">
        <f t="shared" si="7"/>
        <v>30128</v>
      </c>
      <c r="F15" s="14">
        <v>51565</v>
      </c>
      <c r="G15" s="14"/>
      <c r="H15" s="14">
        <f t="shared" si="0"/>
        <v>81693</v>
      </c>
      <c r="I15" s="14">
        <f t="shared" si="8"/>
        <v>915.89120000000003</v>
      </c>
      <c r="J15" s="14">
        <f t="shared" si="9"/>
        <v>1192.0854220799997</v>
      </c>
      <c r="K15" s="14">
        <f t="shared" si="1"/>
        <v>83800.976622079994</v>
      </c>
      <c r="L15" s="14"/>
      <c r="M15" s="14"/>
      <c r="N15" s="24">
        <f t="shared" si="2"/>
        <v>83800.976622079994</v>
      </c>
      <c r="O15" s="14">
        <f t="shared" si="3"/>
        <v>2514.0292986623999</v>
      </c>
      <c r="P15" s="24">
        <f t="shared" si="4"/>
        <v>86315.005920742391</v>
      </c>
      <c r="Q15" s="14">
        <f t="shared" si="5"/>
        <v>17263.001184148477</v>
      </c>
      <c r="R15" s="24">
        <f t="shared" si="6"/>
        <v>103578.00710489087</v>
      </c>
      <c r="S15" s="13">
        <v>17263</v>
      </c>
    </row>
    <row r="16" spans="1:19" s="8" customFormat="1" ht="42" customHeight="1">
      <c r="A16" s="22" t="s">
        <v>30</v>
      </c>
      <c r="B16" s="11" t="s">
        <v>40</v>
      </c>
      <c r="C16" s="14">
        <v>187525</v>
      </c>
      <c r="D16" s="14">
        <v>13465412</v>
      </c>
      <c r="E16" s="14">
        <f t="shared" si="7"/>
        <v>13652937</v>
      </c>
      <c r="F16" s="14">
        <v>36018750</v>
      </c>
      <c r="G16" s="14"/>
      <c r="H16" s="14">
        <f t="shared" si="0"/>
        <v>49671687</v>
      </c>
      <c r="I16" s="14">
        <f t="shared" si="8"/>
        <v>415049.28480000002</v>
      </c>
      <c r="J16" s="14">
        <f t="shared" si="9"/>
        <v>540210.67333631997</v>
      </c>
      <c r="K16" s="14">
        <f t="shared" si="1"/>
        <v>50626946.95813632</v>
      </c>
      <c r="L16" s="14"/>
      <c r="M16" s="14"/>
      <c r="N16" s="24">
        <f t="shared" si="2"/>
        <v>50626946.95813632</v>
      </c>
      <c r="O16" s="14">
        <f t="shared" si="3"/>
        <v>1518808.4087440895</v>
      </c>
      <c r="P16" s="24">
        <f t="shared" si="4"/>
        <v>52145755.366880409</v>
      </c>
      <c r="Q16" s="14">
        <f t="shared" si="5"/>
        <v>10429151.073376082</v>
      </c>
      <c r="R16" s="24">
        <f t="shared" si="6"/>
        <v>62574906.440256491</v>
      </c>
      <c r="S16" s="13">
        <v>10429151.07</v>
      </c>
    </row>
    <row r="17" spans="1:19" s="8" customFormat="1" ht="24.75" customHeight="1">
      <c r="A17" s="22" t="s">
        <v>31</v>
      </c>
      <c r="B17" s="11" t="s">
        <v>41</v>
      </c>
      <c r="C17" s="14">
        <v>155254</v>
      </c>
      <c r="D17" s="14">
        <v>3277467</v>
      </c>
      <c r="E17" s="14">
        <f t="shared" si="7"/>
        <v>3432721</v>
      </c>
      <c r="F17" s="14">
        <v>3652782</v>
      </c>
      <c r="G17" s="14"/>
      <c r="H17" s="14">
        <f t="shared" si="0"/>
        <v>7085503</v>
      </c>
      <c r="I17" s="14">
        <f t="shared" si="8"/>
        <v>104354.7184</v>
      </c>
      <c r="J17" s="14">
        <f t="shared" si="9"/>
        <v>135823.70758655999</v>
      </c>
      <c r="K17" s="14">
        <f t="shared" si="1"/>
        <v>7325681.4259865601</v>
      </c>
      <c r="L17" s="14"/>
      <c r="M17" s="14"/>
      <c r="N17" s="24">
        <f t="shared" si="2"/>
        <v>7325681.4259865601</v>
      </c>
      <c r="O17" s="14">
        <f t="shared" si="3"/>
        <v>219770.44277959681</v>
      </c>
      <c r="P17" s="24">
        <f t="shared" si="4"/>
        <v>7545451.868766157</v>
      </c>
      <c r="Q17" s="14">
        <f t="shared" si="5"/>
        <v>1509090.3737532315</v>
      </c>
      <c r="R17" s="24">
        <f t="shared" si="6"/>
        <v>9054542.242519388</v>
      </c>
      <c r="S17" s="13">
        <v>1509090.3700000001</v>
      </c>
    </row>
    <row r="18" spans="1:19" s="8" customFormat="1" ht="53.25" customHeight="1">
      <c r="A18" s="22" t="s">
        <v>32</v>
      </c>
      <c r="B18" s="11" t="s">
        <v>42</v>
      </c>
      <c r="C18" s="14"/>
      <c r="D18" s="14">
        <v>201619</v>
      </c>
      <c r="E18" s="14">
        <f t="shared" si="7"/>
        <v>201619</v>
      </c>
      <c r="F18" s="14">
        <v>14270</v>
      </c>
      <c r="G18" s="14"/>
      <c r="H18" s="14">
        <f t="shared" si="0"/>
        <v>215889</v>
      </c>
      <c r="I18" s="14">
        <f t="shared" si="8"/>
        <v>6129.2175999999999</v>
      </c>
      <c r="J18" s="14">
        <f t="shared" si="9"/>
        <v>7977.5315558399998</v>
      </c>
      <c r="K18" s="14">
        <f t="shared" si="1"/>
        <v>229995.74915583999</v>
      </c>
      <c r="L18" s="14"/>
      <c r="M18" s="14"/>
      <c r="N18" s="24">
        <f t="shared" si="2"/>
        <v>229995.74915583999</v>
      </c>
      <c r="O18" s="14">
        <f t="shared" si="3"/>
        <v>6899.8724746751996</v>
      </c>
      <c r="P18" s="24">
        <f t="shared" si="4"/>
        <v>236895.6216305152</v>
      </c>
      <c r="Q18" s="14">
        <f t="shared" si="5"/>
        <v>47379.124326103047</v>
      </c>
      <c r="R18" s="24">
        <f t="shared" si="6"/>
        <v>284274.74595661822</v>
      </c>
      <c r="S18" s="13">
        <v>47379.120000000003</v>
      </c>
    </row>
    <row r="19" spans="1:19" s="8" customFormat="1" ht="24.75" customHeight="1">
      <c r="A19" s="22" t="s">
        <v>33</v>
      </c>
      <c r="B19" s="11" t="s">
        <v>43</v>
      </c>
      <c r="C19" s="14">
        <v>271427</v>
      </c>
      <c r="D19" s="14"/>
      <c r="E19" s="14">
        <f t="shared" si="7"/>
        <v>271427</v>
      </c>
      <c r="F19" s="14">
        <v>29961</v>
      </c>
      <c r="G19" s="14"/>
      <c r="H19" s="14">
        <f t="shared" si="0"/>
        <v>301388</v>
      </c>
      <c r="I19" s="14">
        <f t="shared" si="8"/>
        <v>8251.3808000000008</v>
      </c>
      <c r="J19" s="14">
        <f t="shared" si="9"/>
        <v>10739.649822719999</v>
      </c>
      <c r="K19" s="14">
        <f t="shared" si="1"/>
        <v>320379.03062271996</v>
      </c>
      <c r="L19" s="14"/>
      <c r="M19" s="14"/>
      <c r="N19" s="24">
        <f t="shared" si="2"/>
        <v>320379.03062271996</v>
      </c>
      <c r="O19" s="14">
        <f t="shared" si="3"/>
        <v>9611.3709186815977</v>
      </c>
      <c r="P19" s="24">
        <f t="shared" si="4"/>
        <v>329990.40154140157</v>
      </c>
      <c r="Q19" s="14">
        <f t="shared" si="5"/>
        <v>65998.080308280318</v>
      </c>
      <c r="R19" s="24">
        <f t="shared" si="6"/>
        <v>395988.48184968188</v>
      </c>
      <c r="S19" s="13">
        <v>65998.080000000002</v>
      </c>
    </row>
    <row r="20" spans="1:19" s="8" customFormat="1" ht="24.75" customHeight="1">
      <c r="A20" s="22" t="s">
        <v>34</v>
      </c>
      <c r="B20" s="11" t="s">
        <v>44</v>
      </c>
      <c r="C20" s="14">
        <v>163135</v>
      </c>
      <c r="D20" s="14">
        <v>142856</v>
      </c>
      <c r="E20" s="14">
        <f t="shared" si="7"/>
        <v>305991</v>
      </c>
      <c r="F20" s="14">
        <v>27041</v>
      </c>
      <c r="G20" s="14"/>
      <c r="H20" s="14">
        <f t="shared" si="0"/>
        <v>333032</v>
      </c>
      <c r="I20" s="14">
        <f t="shared" si="8"/>
        <v>9302.1263999999992</v>
      </c>
      <c r="J20" s="14">
        <f t="shared" si="9"/>
        <v>12107.256053759998</v>
      </c>
      <c r="K20" s="14">
        <f t="shared" si="1"/>
        <v>354441.38245376002</v>
      </c>
      <c r="L20" s="14"/>
      <c r="M20" s="14"/>
      <c r="N20" s="24">
        <f t="shared" si="2"/>
        <v>354441.38245376002</v>
      </c>
      <c r="O20" s="14">
        <f t="shared" si="3"/>
        <v>10633.241473612799</v>
      </c>
      <c r="P20" s="24">
        <f t="shared" si="4"/>
        <v>365074.6239273728</v>
      </c>
      <c r="Q20" s="14">
        <f t="shared" si="5"/>
        <v>73014.924785474563</v>
      </c>
      <c r="R20" s="24">
        <f t="shared" si="6"/>
        <v>438089.54871284735</v>
      </c>
      <c r="S20" s="13">
        <v>73014.919999999998</v>
      </c>
    </row>
    <row r="21" spans="1:19" s="8" customFormat="1" ht="24.75" customHeight="1">
      <c r="A21" s="22" t="s">
        <v>35</v>
      </c>
      <c r="B21" s="11" t="s">
        <v>45</v>
      </c>
      <c r="C21" s="14"/>
      <c r="D21" s="14">
        <v>215357</v>
      </c>
      <c r="E21" s="14">
        <f t="shared" si="7"/>
        <v>215357</v>
      </c>
      <c r="F21" s="14">
        <v>96177</v>
      </c>
      <c r="G21" s="14"/>
      <c r="H21" s="14">
        <f t="shared" si="0"/>
        <v>311534</v>
      </c>
      <c r="I21" s="14">
        <f t="shared" si="8"/>
        <v>6546.8527999999997</v>
      </c>
      <c r="J21" s="14">
        <f t="shared" si="9"/>
        <v>8521.1079475199986</v>
      </c>
      <c r="K21" s="14">
        <f t="shared" si="1"/>
        <v>326601.96074751997</v>
      </c>
      <c r="L21" s="14"/>
      <c r="M21" s="14"/>
      <c r="N21" s="24">
        <f t="shared" si="2"/>
        <v>326601.96074751997</v>
      </c>
      <c r="O21" s="14">
        <f t="shared" si="3"/>
        <v>9798.0588224255989</v>
      </c>
      <c r="P21" s="24">
        <f t="shared" si="4"/>
        <v>336400.01956994558</v>
      </c>
      <c r="Q21" s="14">
        <f t="shared" si="5"/>
        <v>67280.003913989116</v>
      </c>
      <c r="R21" s="24">
        <f t="shared" si="6"/>
        <v>403680.0234839347</v>
      </c>
      <c r="S21" s="13">
        <v>67280</v>
      </c>
    </row>
    <row r="22" spans="1:19" s="8" customFormat="1" ht="27" customHeight="1">
      <c r="A22" s="22" t="s">
        <v>36</v>
      </c>
      <c r="B22" s="11" t="s">
        <v>46</v>
      </c>
      <c r="C22" s="14">
        <v>33762</v>
      </c>
      <c r="D22" s="14"/>
      <c r="E22" s="14">
        <f t="shared" si="7"/>
        <v>33762</v>
      </c>
      <c r="F22" s="14"/>
      <c r="G22" s="14"/>
      <c r="H22" s="14">
        <f t="shared" si="0"/>
        <v>33762</v>
      </c>
      <c r="I22" s="14">
        <f t="shared" si="8"/>
        <v>1026.3648000000001</v>
      </c>
      <c r="J22" s="14">
        <f t="shared" si="9"/>
        <v>1335.87320832</v>
      </c>
      <c r="K22" s="14">
        <f t="shared" si="1"/>
        <v>36124.238008320004</v>
      </c>
      <c r="L22" s="14"/>
      <c r="M22" s="14"/>
      <c r="N22" s="24">
        <f t="shared" si="2"/>
        <v>36124.238008320004</v>
      </c>
      <c r="O22" s="14">
        <f t="shared" si="3"/>
        <v>1083.7271402496001</v>
      </c>
      <c r="P22" s="24">
        <f t="shared" si="4"/>
        <v>37207.965148569601</v>
      </c>
      <c r="Q22" s="14">
        <f t="shared" si="5"/>
        <v>7441.5930297139203</v>
      </c>
      <c r="R22" s="24">
        <f t="shared" si="6"/>
        <v>44649.558178283522</v>
      </c>
      <c r="S22" s="13">
        <v>7441.5900000000001</v>
      </c>
    </row>
    <row r="23" spans="1:19" s="8" customFormat="1" ht="24.75" customHeight="1">
      <c r="A23" s="22" t="s">
        <v>37</v>
      </c>
      <c r="B23" s="11" t="s">
        <v>47</v>
      </c>
      <c r="C23" s="14">
        <v>4296028</v>
      </c>
      <c r="D23" s="14"/>
      <c r="E23" s="14">
        <f t="shared" si="7"/>
        <v>4296028</v>
      </c>
      <c r="F23" s="14"/>
      <c r="G23" s="14"/>
      <c r="H23" s="14">
        <f t="shared" si="0"/>
        <v>4296028</v>
      </c>
      <c r="I23" s="14">
        <f t="shared" si="8"/>
        <v>130599.2512</v>
      </c>
      <c r="J23" s="14">
        <f t="shared" si="9"/>
        <v>169982.48644607997</v>
      </c>
      <c r="K23" s="14">
        <f t="shared" si="1"/>
        <v>4596609.7376460796</v>
      </c>
      <c r="L23" s="14"/>
      <c r="M23" s="14"/>
      <c r="N23" s="24">
        <f t="shared" si="2"/>
        <v>4596609.7376460796</v>
      </c>
      <c r="O23" s="14">
        <f t="shared" si="3"/>
        <v>137898.29212938237</v>
      </c>
      <c r="P23" s="24">
        <f t="shared" si="4"/>
        <v>4734508.0297754621</v>
      </c>
      <c r="Q23" s="14">
        <f t="shared" si="5"/>
        <v>946901.60595509247</v>
      </c>
      <c r="R23" s="24">
        <f t="shared" si="6"/>
        <v>5681409.6357305543</v>
      </c>
      <c r="S23" s="13">
        <v>946901.60999999999</v>
      </c>
    </row>
    <row r="24" spans="1:19" s="8" customFormat="1" ht="24.75" customHeight="1">
      <c r="A24" s="22" t="s">
        <v>48</v>
      </c>
      <c r="B24" s="11" t="s">
        <v>52</v>
      </c>
      <c r="C24" s="14">
        <v>103956</v>
      </c>
      <c r="D24" s="14">
        <v>158353</v>
      </c>
      <c r="E24" s="14">
        <f t="shared" si="7"/>
        <v>262309</v>
      </c>
      <c r="F24" s="14">
        <v>89601</v>
      </c>
      <c r="G24" s="14"/>
      <c r="H24" s="14">
        <f t="shared" si="0"/>
        <v>351910</v>
      </c>
      <c r="I24" s="14">
        <f t="shared" si="8"/>
        <v>7974.1935999999996</v>
      </c>
      <c r="J24" s="14">
        <f t="shared" si="9"/>
        <v>10378.874634239999</v>
      </c>
      <c r="K24" s="14">
        <f t="shared" si="1"/>
        <v>370263.06823424</v>
      </c>
      <c r="L24" s="14"/>
      <c r="M24" s="14"/>
      <c r="N24" s="24">
        <f t="shared" si="2"/>
        <v>370263.06823424</v>
      </c>
      <c r="O24" s="14">
        <f t="shared" si="3"/>
        <v>11107.892047027199</v>
      </c>
      <c r="P24" s="24">
        <f t="shared" si="4"/>
        <v>381370.96028126718</v>
      </c>
      <c r="Q24" s="14">
        <f t="shared" si="5"/>
        <v>76274.192056253436</v>
      </c>
      <c r="R24" s="24">
        <f t="shared" si="6"/>
        <v>457645.15233752062</v>
      </c>
      <c r="S24" s="13">
        <v>76274.190000000002</v>
      </c>
    </row>
    <row r="25" spans="1:19" s="8" customFormat="1" ht="24.75" customHeight="1">
      <c r="A25" s="22" t="s">
        <v>49</v>
      </c>
      <c r="B25" s="11" t="s">
        <v>53</v>
      </c>
      <c r="C25" s="14">
        <v>63913</v>
      </c>
      <c r="D25" s="14">
        <v>1438878</v>
      </c>
      <c r="E25" s="14">
        <f t="shared" si="7"/>
        <v>1502791</v>
      </c>
      <c r="F25" s="14"/>
      <c r="G25" s="14"/>
      <c r="H25" s="14">
        <f t="shared" si="0"/>
        <v>1502791</v>
      </c>
      <c r="I25" s="14">
        <f t="shared" si="8"/>
        <v>45684.846400000002</v>
      </c>
      <c r="J25" s="14">
        <f t="shared" si="9"/>
        <v>59461.472501759992</v>
      </c>
      <c r="K25" s="14">
        <f t="shared" si="1"/>
        <v>1607937.3189017598</v>
      </c>
      <c r="L25" s="14"/>
      <c r="M25" s="14"/>
      <c r="N25" s="24">
        <f t="shared" si="2"/>
        <v>1607937.3189017598</v>
      </c>
      <c r="O25" s="14">
        <f t="shared" si="3"/>
        <v>48238.119567052796</v>
      </c>
      <c r="P25" s="24">
        <f t="shared" si="4"/>
        <v>1656175.4384688125</v>
      </c>
      <c r="Q25" s="14">
        <f t="shared" si="5"/>
        <v>331235.0876937625</v>
      </c>
      <c r="R25" s="24">
        <f t="shared" si="6"/>
        <v>1987410.526162575</v>
      </c>
      <c r="S25" s="13">
        <v>331235.09000000003</v>
      </c>
    </row>
    <row r="26" spans="1:19" s="8" customFormat="1" ht="40.5" customHeight="1">
      <c r="A26" s="22" t="s">
        <v>50</v>
      </c>
      <c r="B26" s="11" t="s">
        <v>54</v>
      </c>
      <c r="C26" s="14">
        <v>498774</v>
      </c>
      <c r="D26" s="14">
        <v>19202</v>
      </c>
      <c r="E26" s="14">
        <f t="shared" si="7"/>
        <v>517976</v>
      </c>
      <c r="F26" s="14">
        <v>14002369</v>
      </c>
      <c r="G26" s="14"/>
      <c r="H26" s="14">
        <f t="shared" si="0"/>
        <v>14520345</v>
      </c>
      <c r="I26" s="14">
        <f t="shared" si="8"/>
        <v>15746.4704</v>
      </c>
      <c r="J26" s="14">
        <f t="shared" si="9"/>
        <v>20494.942863359996</v>
      </c>
      <c r="K26" s="14">
        <f t="shared" si="1"/>
        <v>14556586.41326336</v>
      </c>
      <c r="L26" s="14"/>
      <c r="M26" s="14">
        <v>-14002369</v>
      </c>
      <c r="N26" s="24">
        <f t="shared" si="2"/>
        <v>554217.41326336004</v>
      </c>
      <c r="O26" s="14">
        <f t="shared" si="3"/>
        <v>16626.522397900801</v>
      </c>
      <c r="P26" s="24">
        <f t="shared" si="4"/>
        <v>570843.93566126085</v>
      </c>
      <c r="Q26" s="14">
        <f t="shared" si="5"/>
        <v>114168.78713225218</v>
      </c>
      <c r="R26" s="24">
        <f t="shared" si="6"/>
        <v>685012.72279351298</v>
      </c>
      <c r="S26" s="13">
        <v>114168.78999999999</v>
      </c>
    </row>
    <row r="27" spans="1:19" s="8" customFormat="1" ht="24.75" customHeight="1">
      <c r="A27" s="22" t="s">
        <v>51</v>
      </c>
      <c r="B27" s="11" t="s">
        <v>55</v>
      </c>
      <c r="C27" s="14">
        <v>558646</v>
      </c>
      <c r="D27" s="14"/>
      <c r="E27" s="14">
        <f t="shared" si="7"/>
        <v>558646</v>
      </c>
      <c r="F27" s="14"/>
      <c r="G27" s="14"/>
      <c r="H27" s="14">
        <f t="shared" si="0"/>
        <v>558646</v>
      </c>
      <c r="I27" s="14">
        <f t="shared" si="8"/>
        <v>16982.838400000001</v>
      </c>
      <c r="J27" s="14">
        <f t="shared" si="9"/>
        <v>22104.147394559997</v>
      </c>
      <c r="K27" s="14">
        <f t="shared" si="1"/>
        <v>597732.98579456005</v>
      </c>
      <c r="L27" s="14"/>
      <c r="M27" s="14"/>
      <c r="N27" s="24">
        <f t="shared" si="2"/>
        <v>597732.98579456005</v>
      </c>
      <c r="O27" s="14">
        <f t="shared" si="3"/>
        <v>17931.9895738368</v>
      </c>
      <c r="P27" s="24">
        <f t="shared" si="4"/>
        <v>615664.97536839684</v>
      </c>
      <c r="Q27" s="14">
        <f t="shared" si="5"/>
        <v>123132.99507367937</v>
      </c>
      <c r="R27" s="24">
        <f t="shared" si="6"/>
        <v>738797.97044207621</v>
      </c>
      <c r="S27" s="13">
        <v>123132</v>
      </c>
    </row>
    <row r="28" spans="1:19" s="8" customFormat="1" ht="30.75" customHeight="1">
      <c r="A28" s="22" t="s">
        <v>56</v>
      </c>
      <c r="B28" s="11" t="s">
        <v>58</v>
      </c>
      <c r="C28" s="14"/>
      <c r="D28" s="14">
        <v>41709</v>
      </c>
      <c r="E28" s="14">
        <f t="shared" si="7"/>
        <v>41709</v>
      </c>
      <c r="F28" s="14"/>
      <c r="G28" s="14"/>
      <c r="H28" s="14">
        <f t="shared" si="0"/>
        <v>41709</v>
      </c>
      <c r="I28" s="14">
        <f t="shared" si="8"/>
        <v>1267.9536000000001</v>
      </c>
      <c r="J28" s="14">
        <f t="shared" si="9"/>
        <v>1650.31501824</v>
      </c>
      <c r="K28" s="14">
        <f t="shared" si="1"/>
        <v>44627.268618239999</v>
      </c>
      <c r="L28" s="14"/>
      <c r="M28" s="14"/>
      <c r="N28" s="24">
        <f t="shared" si="2"/>
        <v>44627.268618239999</v>
      </c>
      <c r="O28" s="14">
        <f t="shared" si="3"/>
        <v>1338.8180585471998</v>
      </c>
      <c r="P28" s="24">
        <f t="shared" si="4"/>
        <v>45966.086676787199</v>
      </c>
      <c r="Q28" s="14">
        <f t="shared" si="5"/>
        <v>9193.2173353574399</v>
      </c>
      <c r="R28" s="24">
        <f t="shared" si="6"/>
        <v>55159.304012144639</v>
      </c>
      <c r="S28" s="13">
        <v>9193.2199999999993</v>
      </c>
    </row>
    <row r="29" spans="1:19" s="8" customFormat="1" ht="24.75" customHeight="1">
      <c r="A29" s="22" t="s">
        <v>57</v>
      </c>
      <c r="B29" s="11" t="s">
        <v>59</v>
      </c>
      <c r="C29" s="14"/>
      <c r="D29" s="14">
        <v>5980</v>
      </c>
      <c r="E29" s="14">
        <f t="shared" si="7"/>
        <v>5980</v>
      </c>
      <c r="F29" s="14"/>
      <c r="G29" s="14"/>
      <c r="H29" s="14">
        <f t="shared" si="0"/>
        <v>5980</v>
      </c>
      <c r="I29" s="14">
        <f t="shared" si="8"/>
        <v>181.792</v>
      </c>
      <c r="J29" s="14">
        <f t="shared" si="9"/>
        <v>236.6128128</v>
      </c>
      <c r="K29" s="14">
        <f t="shared" si="1"/>
        <v>6398.4048128000004</v>
      </c>
      <c r="L29" s="14"/>
      <c r="M29" s="14"/>
      <c r="N29" s="24">
        <f t="shared" si="2"/>
        <v>6398.4048128000004</v>
      </c>
      <c r="O29" s="14">
        <f t="shared" si="3"/>
        <v>191.95214438400001</v>
      </c>
      <c r="P29" s="24">
        <f t="shared" si="4"/>
        <v>6590.3569571840007</v>
      </c>
      <c r="Q29" s="14">
        <f t="shared" si="5"/>
        <v>1318.0713914368002</v>
      </c>
      <c r="R29" s="24">
        <f t="shared" si="6"/>
        <v>7908.4283486208005</v>
      </c>
      <c r="S29" s="13">
        <v>1318.0699999999999</v>
      </c>
    </row>
    <row r="30" spans="1:19" s="8" customFormat="1" ht="42" customHeight="1">
      <c r="A30" s="22" t="s">
        <v>60</v>
      </c>
      <c r="B30" s="11" t="s">
        <v>64</v>
      </c>
      <c r="C30" s="14">
        <v>30478363</v>
      </c>
      <c r="D30" s="14">
        <v>347016</v>
      </c>
      <c r="E30" s="14">
        <f t="shared" si="7"/>
        <v>30825379</v>
      </c>
      <c r="F30" s="14">
        <v>890380</v>
      </c>
      <c r="G30" s="14"/>
      <c r="H30" s="14">
        <f t="shared" si="0"/>
        <v>31715759</v>
      </c>
      <c r="I30" s="14">
        <f t="shared" si="8"/>
        <v>937091.52159999998</v>
      </c>
      <c r="J30" s="14">
        <f t="shared" si="9"/>
        <v>1219678.8680294398</v>
      </c>
      <c r="K30" s="14">
        <f t="shared" si="1"/>
        <v>33872529.389629439</v>
      </c>
      <c r="L30" s="14">
        <v>-6926202</v>
      </c>
      <c r="M30" s="14"/>
      <c r="N30" s="24">
        <f t="shared" si="2"/>
        <v>26946327.389629439</v>
      </c>
      <c r="O30" s="14">
        <f t="shared" si="3"/>
        <v>808389.82168888312</v>
      </c>
      <c r="P30" s="24">
        <f t="shared" si="4"/>
        <v>27754717.211318322</v>
      </c>
      <c r="Q30" s="14">
        <f t="shared" si="5"/>
        <v>5550943.4422636647</v>
      </c>
      <c r="R30" s="24">
        <f t="shared" si="6"/>
        <v>33305660.653581984</v>
      </c>
      <c r="S30" s="13">
        <v>5550943.4400000004</v>
      </c>
    </row>
    <row r="31" spans="1:19" s="8" customFormat="1" ht="30" customHeight="1">
      <c r="A31" s="22" t="s">
        <v>61</v>
      </c>
      <c r="B31" s="11" t="s">
        <v>65</v>
      </c>
      <c r="C31" s="14">
        <v>317218</v>
      </c>
      <c r="D31" s="14"/>
      <c r="E31" s="14">
        <f t="shared" si="7"/>
        <v>317218</v>
      </c>
      <c r="F31" s="14"/>
      <c r="G31" s="14"/>
      <c r="H31" s="14">
        <f t="shared" si="0"/>
        <v>317218</v>
      </c>
      <c r="I31" s="14">
        <f t="shared" si="8"/>
        <v>9643.4272000000001</v>
      </c>
      <c r="J31" s="14">
        <f t="shared" si="9"/>
        <v>12551.478804479999</v>
      </c>
      <c r="K31" s="14">
        <f t="shared" si="1"/>
        <v>339412.90600447997</v>
      </c>
      <c r="L31" s="14"/>
      <c r="M31" s="14"/>
      <c r="N31" s="24">
        <f t="shared" si="2"/>
        <v>339412.90600447997</v>
      </c>
      <c r="O31" s="14">
        <f t="shared" si="3"/>
        <v>10182.387180134399</v>
      </c>
      <c r="P31" s="24">
        <f t="shared" si="4"/>
        <v>349595.29318461439</v>
      </c>
      <c r="Q31" s="14">
        <f t="shared" si="5"/>
        <v>69919.058636922884</v>
      </c>
      <c r="R31" s="24">
        <f t="shared" si="6"/>
        <v>419514.35182153725</v>
      </c>
      <c r="S31" s="13">
        <v>69919.059999999998</v>
      </c>
    </row>
    <row r="32" spans="1:19" s="8" customFormat="1" ht="24.75" customHeight="1">
      <c r="A32" s="22" t="s">
        <v>62</v>
      </c>
      <c r="B32" s="11" t="s">
        <v>66</v>
      </c>
      <c r="C32" s="14">
        <v>712248</v>
      </c>
      <c r="D32" s="14"/>
      <c r="E32" s="14">
        <f t="shared" si="7"/>
        <v>712248</v>
      </c>
      <c r="F32" s="14"/>
      <c r="G32" s="14"/>
      <c r="H32" s="14">
        <f t="shared" si="0"/>
        <v>712248</v>
      </c>
      <c r="I32" s="14">
        <f t="shared" si="8"/>
        <v>21652.339199999999</v>
      </c>
      <c r="J32" s="14">
        <f t="shared" si="9"/>
        <v>28181.773025279999</v>
      </c>
      <c r="K32" s="14">
        <f t="shared" si="1"/>
        <v>762082.11222528003</v>
      </c>
      <c r="L32" s="14"/>
      <c r="M32" s="14"/>
      <c r="N32" s="24">
        <f t="shared" si="2"/>
        <v>762082.11222528003</v>
      </c>
      <c r="O32" s="14">
        <f t="shared" si="3"/>
        <v>22862.463366758398</v>
      </c>
      <c r="P32" s="24">
        <f t="shared" si="4"/>
        <v>784944.57559203845</v>
      </c>
      <c r="Q32" s="14">
        <f t="shared" si="5"/>
        <v>156988.91511840769</v>
      </c>
      <c r="R32" s="24">
        <f t="shared" si="6"/>
        <v>941933.49071044615</v>
      </c>
      <c r="S32" s="13">
        <v>156988.92000000001</v>
      </c>
    </row>
    <row r="33" spans="1:19" s="8" customFormat="1" ht="24.75" customHeight="1">
      <c r="A33" s="22" t="s">
        <v>63</v>
      </c>
      <c r="B33" s="11" t="s">
        <v>67</v>
      </c>
      <c r="C33" s="14">
        <v>1222915</v>
      </c>
      <c r="D33" s="14"/>
      <c r="E33" s="14">
        <f t="shared" si="7"/>
        <v>1222915</v>
      </c>
      <c r="F33" s="14"/>
      <c r="G33" s="14"/>
      <c r="H33" s="14">
        <f t="shared" si="0"/>
        <v>1222915</v>
      </c>
      <c r="I33" s="14">
        <f t="shared" si="8"/>
        <v>37176.616000000002</v>
      </c>
      <c r="J33" s="14">
        <f t="shared" si="9"/>
        <v>48387.518054399996</v>
      </c>
      <c r="K33" s="14">
        <f t="shared" si="1"/>
        <v>1308479.1340544</v>
      </c>
      <c r="L33" s="14"/>
      <c r="M33" s="14"/>
      <c r="N33" s="24">
        <f t="shared" si="2"/>
        <v>1308479.1340544</v>
      </c>
      <c r="O33" s="14">
        <f t="shared" si="3"/>
        <v>39254.374021632</v>
      </c>
      <c r="P33" s="24">
        <f t="shared" si="4"/>
        <v>1347733.5080760319</v>
      </c>
      <c r="Q33" s="14">
        <f t="shared" si="5"/>
        <v>269546.70161520637</v>
      </c>
      <c r="R33" s="24">
        <f t="shared" si="6"/>
        <v>1617280.2096912384</v>
      </c>
      <c r="S33" s="13">
        <v>269546.70000000001</v>
      </c>
    </row>
    <row r="34" spans="1:19" s="8" customFormat="1" ht="24.75" customHeight="1">
      <c r="A34" s="22" t="s">
        <v>68</v>
      </c>
      <c r="B34" s="11" t="s">
        <v>69</v>
      </c>
      <c r="C34" s="14">
        <v>5171316</v>
      </c>
      <c r="D34" s="14"/>
      <c r="E34" s="14">
        <f t="shared" si="7"/>
        <v>5171316</v>
      </c>
      <c r="F34" s="14"/>
      <c r="G34" s="14"/>
      <c r="H34" s="14">
        <f t="shared" si="0"/>
        <v>5171316</v>
      </c>
      <c r="I34" s="14">
        <f t="shared" si="8"/>
        <v>157208.00640000001</v>
      </c>
      <c r="J34" s="14">
        <f t="shared" si="9"/>
        <v>204615.32184575999</v>
      </c>
      <c r="K34" s="14">
        <f t="shared" si="1"/>
        <v>5533139.3282457599</v>
      </c>
      <c r="L34" s="14"/>
      <c r="M34" s="14"/>
      <c r="N34" s="24">
        <f t="shared" si="2"/>
        <v>5533139.3282457599</v>
      </c>
      <c r="O34" s="14">
        <f t="shared" si="3"/>
        <v>165994.17984737278</v>
      </c>
      <c r="P34" s="24">
        <f t="shared" si="4"/>
        <v>5699133.5080931326</v>
      </c>
      <c r="Q34" s="14">
        <f t="shared" si="5"/>
        <v>1139826.7016186265</v>
      </c>
      <c r="R34" s="24">
        <f t="shared" si="6"/>
        <v>6838960.2097117594</v>
      </c>
      <c r="S34" s="13">
        <v>1139826.7</v>
      </c>
    </row>
    <row r="35" spans="1:19" s="8" customFormat="1" ht="24.75" customHeight="1">
      <c r="A35" s="22" t="s">
        <v>71</v>
      </c>
      <c r="B35" s="11" t="s">
        <v>74</v>
      </c>
      <c r="C35" s="14"/>
      <c r="D35" s="14"/>
      <c r="E35" s="14"/>
      <c r="F35" s="14"/>
      <c r="G35" s="14">
        <v>245664</v>
      </c>
      <c r="H35" s="14">
        <f t="shared" si="0"/>
        <v>245664</v>
      </c>
      <c r="I35" s="14"/>
      <c r="J35" s="14"/>
      <c r="K35" s="14">
        <f t="shared" si="1"/>
        <v>245664</v>
      </c>
      <c r="L35" s="14"/>
      <c r="M35" s="14"/>
      <c r="N35" s="24">
        <f t="shared" si="2"/>
        <v>245664</v>
      </c>
      <c r="O35" s="14">
        <f t="shared" si="3"/>
        <v>7369.9200000000001</v>
      </c>
      <c r="P35" s="24">
        <f t="shared" si="4"/>
        <v>253033.92000000001</v>
      </c>
      <c r="Q35" s="14">
        <f t="shared" si="5"/>
        <v>50606.784000000007</v>
      </c>
      <c r="R35" s="24">
        <f t="shared" si="6"/>
        <v>303640.70400000003</v>
      </c>
      <c r="S35" s="13">
        <v>50606.779999999999</v>
      </c>
    </row>
    <row r="36" spans="1:19" s="8" customFormat="1" ht="24.75" customHeight="1">
      <c r="A36" s="22" t="s">
        <v>72</v>
      </c>
      <c r="B36" s="11" t="s">
        <v>75</v>
      </c>
      <c r="C36" s="14"/>
      <c r="D36" s="14"/>
      <c r="E36" s="14"/>
      <c r="F36" s="14"/>
      <c r="G36" s="14">
        <v>248425</v>
      </c>
      <c r="H36" s="14">
        <f t="shared" si="0"/>
        <v>248425</v>
      </c>
      <c r="I36" s="14"/>
      <c r="J36" s="14"/>
      <c r="K36" s="14">
        <f>H36+I36+J36</f>
        <v>248425</v>
      </c>
      <c r="L36" s="14"/>
      <c r="M36" s="14"/>
      <c r="N36" s="24">
        <f t="shared" si="2"/>
        <v>248425</v>
      </c>
      <c r="O36" s="14">
        <f t="shared" si="3"/>
        <v>7452.75</v>
      </c>
      <c r="P36" s="24">
        <f t="shared" si="4"/>
        <v>255877.75</v>
      </c>
      <c r="Q36" s="14">
        <f t="shared" si="5"/>
        <v>51175.550000000003</v>
      </c>
      <c r="R36" s="24">
        <f t="shared" si="6"/>
        <v>307053.29999999999</v>
      </c>
      <c r="S36" s="13">
        <v>51175.550000000003</v>
      </c>
    </row>
    <row r="37" spans="1:20" s="8" customFormat="1" ht="15">
      <c r="A37" s="35" t="s">
        <v>76</v>
      </c>
      <c r="B37" s="35"/>
      <c r="C37" s="15">
        <f>SUM(C10:C36)</f>
        <v>70938608</v>
      </c>
      <c r="D37" s="15">
        <f t="shared" si="10" ref="D37:F37">SUM(D10:D36)</f>
        <v>20395538</v>
      </c>
      <c r="E37" s="15">
        <f t="shared" si="10"/>
        <v>91334146</v>
      </c>
      <c r="F37" s="15">
        <f t="shared" si="10"/>
        <v>60475889</v>
      </c>
      <c r="G37" s="15">
        <f>SUM(G10:G36)</f>
        <v>496782</v>
      </c>
      <c r="H37" s="15">
        <f>SUM(H10:H36)</f>
        <v>152306817</v>
      </c>
      <c r="I37" s="15">
        <f t="shared" si="11" ref="I37">SUM(I10:I36)</f>
        <v>2776558.036799999</v>
      </c>
      <c r="J37" s="15">
        <f>SUM(J10:J36)-0.01</f>
        <v>3613851.0261651194</v>
      </c>
      <c r="K37" s="15">
        <f>SUM(K10:K36)</f>
        <v>158697226.07296512</v>
      </c>
      <c r="L37" s="15">
        <f t="shared" si="12" ref="L37">SUM(L10:L36)</f>
        <v>-6926202</v>
      </c>
      <c r="M37" s="15">
        <f t="shared" si="13" ref="M37">SUM(M10:M36)</f>
        <v>-14002369</v>
      </c>
      <c r="N37" s="23">
        <f t="shared" si="14" ref="N37:O37">SUM(N10:N36)</f>
        <v>137768655.07296512</v>
      </c>
      <c r="O37" s="15">
        <f t="shared" si="14"/>
        <v>4133059.6473889528</v>
      </c>
      <c r="P37" s="23">
        <f t="shared" si="15" ref="P37">SUM(P10:P36)</f>
        <v>141901714.72035405</v>
      </c>
      <c r="Q37" s="23">
        <f t="shared" si="16" ref="Q37">SUM(Q10:Q36)</f>
        <v>28380342.94407082</v>
      </c>
      <c r="R37" s="23">
        <f t="shared" si="17" ref="R37">SUM(R10:R36)</f>
        <v>170282057.6644249</v>
      </c>
      <c r="S37" s="32">
        <f>SUM(S10:S36)</f>
        <v>28380341.940000005</v>
      </c>
      <c r="T37" s="33">
        <f>P37+S37</f>
        <v>170282056.66035405</v>
      </c>
    </row>
    <row r="38" spans="1:21" s="3" customFormat="1" ht="15">
      <c r="A38" s="25" t="s">
        <v>78</v>
      </c>
      <c r="B38" s="26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12"/>
      <c r="T38" s="7"/>
      <c r="U38" s="7"/>
    </row>
    <row r="39" spans="1:19" s="8" customFormat="1" ht="24.75" customHeight="1">
      <c r="A39" s="22" t="s">
        <v>20</v>
      </c>
      <c r="B39" s="11" t="s">
        <v>82</v>
      </c>
      <c r="C39" s="14">
        <v>4328</v>
      </c>
      <c r="D39" s="14">
        <v>155469</v>
      </c>
      <c r="E39" s="14">
        <f>C39+D39</f>
        <v>159797</v>
      </c>
      <c r="F39" s="14"/>
      <c r="G39" s="14"/>
      <c r="H39" s="14">
        <f>SUM(E39:G39)</f>
        <v>159797</v>
      </c>
      <c r="I39" s="14">
        <f>(C39+D39)*0.0304</f>
        <v>4857.8288000000002</v>
      </c>
      <c r="J39" s="14">
        <f>(C39+D39+I39)*0.0384</f>
        <v>6322.7454259199994</v>
      </c>
      <c r="K39" s="14">
        <f>ROUND(H39+I39+J39,2)</f>
        <v>170977.57000000001</v>
      </c>
      <c r="L39" s="14"/>
      <c r="M39" s="14"/>
      <c r="N39" s="24">
        <f>M39+K39+L39</f>
        <v>170977.57000000001</v>
      </c>
      <c r="O39" s="14">
        <f>ROUND((K39+L39+M39)*0.03,2)</f>
        <v>5129.3299999999999</v>
      </c>
      <c r="P39" s="24">
        <f>K39+L39+M39+O39</f>
        <v>176106.89999999999</v>
      </c>
      <c r="Q39" s="14">
        <f>ROUND(P39*0.2,2)</f>
        <v>35221.379999999997</v>
      </c>
      <c r="R39" s="24">
        <f>P39+Q39</f>
        <v>211328.28</v>
      </c>
      <c r="S39" s="13">
        <v>35221.379999999997</v>
      </c>
    </row>
    <row r="40" spans="1:19" s="8" customFormat="1" ht="42" customHeight="1">
      <c r="A40" s="22" t="s">
        <v>24</v>
      </c>
      <c r="B40" s="11" t="s">
        <v>83</v>
      </c>
      <c r="C40" s="14">
        <v>8812</v>
      </c>
      <c r="D40" s="14">
        <v>477392</v>
      </c>
      <c r="E40" s="14">
        <f t="shared" si="18" ref="E40:E44">C40+D40</f>
        <v>486204</v>
      </c>
      <c r="F40" s="14">
        <v>343492</v>
      </c>
      <c r="G40" s="14"/>
      <c r="H40" s="14">
        <f t="shared" si="19" ref="H40:H48">SUM(E40:G40)</f>
        <v>829696</v>
      </c>
      <c r="I40" s="14">
        <f t="shared" si="20" ref="I40:I44">(C40+D40)*0.0304</f>
        <v>14780.6016</v>
      </c>
      <c r="J40" s="14">
        <f t="shared" si="21" ref="J40:J44">(C40+D40+I40)*0.0384</f>
        <v>19237.808701439997</v>
      </c>
      <c r="K40" s="14">
        <f t="shared" si="22" ref="K40:K48">H40+I40+J40</f>
        <v>863714.41030144005</v>
      </c>
      <c r="L40" s="14"/>
      <c r="M40" s="14"/>
      <c r="N40" s="24">
        <f t="shared" si="23" ref="N40:N48">M40+K40+L40</f>
        <v>863714.41030144005</v>
      </c>
      <c r="O40" s="14">
        <f t="shared" si="24" ref="O40:O48">ROUND((K40+L40+M40)*0.03,2)</f>
        <v>25911.43</v>
      </c>
      <c r="P40" s="24">
        <f t="shared" si="25" ref="P40:P48">K40+L40+M40+O40</f>
        <v>889625.8403014401</v>
      </c>
      <c r="Q40" s="14">
        <f t="shared" si="26" ref="Q40:Q48">ROUND(P40*0.2,2)</f>
        <v>177925.17000000001</v>
      </c>
      <c r="R40" s="24">
        <f t="shared" si="27" ref="R40:R48">P40+Q40</f>
        <v>1067551.01030144</v>
      </c>
      <c r="S40" s="13">
        <v>177925.17000000001</v>
      </c>
    </row>
    <row r="41" spans="1:19" s="8" customFormat="1" ht="42.75" customHeight="1">
      <c r="A41" s="22" t="s">
        <v>26</v>
      </c>
      <c r="B41" s="11" t="s">
        <v>84</v>
      </c>
      <c r="C41" s="14">
        <v>120914</v>
      </c>
      <c r="D41" s="14">
        <v>1279769</v>
      </c>
      <c r="E41" s="14">
        <f t="shared" si="18"/>
        <v>1400683</v>
      </c>
      <c r="F41" s="14">
        <v>41786737</v>
      </c>
      <c r="G41" s="14"/>
      <c r="H41" s="14">
        <f t="shared" si="19"/>
        <v>43187420</v>
      </c>
      <c r="I41" s="14">
        <f t="shared" si="20"/>
        <v>42580.763200000001</v>
      </c>
      <c r="J41" s="14">
        <f t="shared" si="21"/>
        <v>55421.328506879996</v>
      </c>
      <c r="K41" s="14">
        <f t="shared" si="22"/>
        <v>43285422.091706879</v>
      </c>
      <c r="L41" s="14"/>
      <c r="M41" s="14"/>
      <c r="N41" s="24">
        <f t="shared" si="23"/>
        <v>43285422.091706879</v>
      </c>
      <c r="O41" s="14">
        <f t="shared" si="24"/>
        <v>1298562.6599999999</v>
      </c>
      <c r="P41" s="24">
        <f t="shared" si="25"/>
        <v>44583984.751706876</v>
      </c>
      <c r="Q41" s="14">
        <f t="shared" si="26"/>
        <v>8916796.9499999993</v>
      </c>
      <c r="R41" s="24">
        <f t="shared" si="27"/>
        <v>53500781.701706871</v>
      </c>
      <c r="S41" s="13">
        <v>8916796.9499999993</v>
      </c>
    </row>
    <row r="42" spans="1:19" s="8" customFormat="1" ht="39.75" customHeight="1">
      <c r="A42" s="22" t="s">
        <v>28</v>
      </c>
      <c r="B42" s="11" t="s">
        <v>85</v>
      </c>
      <c r="C42" s="14">
        <v>1091277</v>
      </c>
      <c r="D42" s="14">
        <v>703656</v>
      </c>
      <c r="E42" s="14">
        <f t="shared" si="18"/>
        <v>1794933</v>
      </c>
      <c r="F42" s="14"/>
      <c r="G42" s="14"/>
      <c r="H42" s="14">
        <f t="shared" si="19"/>
        <v>1794933</v>
      </c>
      <c r="I42" s="14">
        <f t="shared" si="20"/>
        <v>54565.963199999998</v>
      </c>
      <c r="J42" s="14">
        <f t="shared" si="21"/>
        <v>71020.760186879997</v>
      </c>
      <c r="K42" s="14">
        <f t="shared" si="22"/>
        <v>1920519.72338688</v>
      </c>
      <c r="L42" s="14"/>
      <c r="M42" s="14"/>
      <c r="N42" s="24">
        <f t="shared" si="23"/>
        <v>1920519.72338688</v>
      </c>
      <c r="O42" s="14">
        <f t="shared" si="24"/>
        <v>57615.589999999997</v>
      </c>
      <c r="P42" s="24">
        <f t="shared" si="25"/>
        <v>1978135.3133868801</v>
      </c>
      <c r="Q42" s="14">
        <f t="shared" si="26"/>
        <v>395627.06</v>
      </c>
      <c r="R42" s="24">
        <f t="shared" si="27"/>
        <v>2373762.3733868799</v>
      </c>
      <c r="S42" s="13">
        <v>395627.06</v>
      </c>
    </row>
    <row r="43" spans="1:19" s="8" customFormat="1" ht="40.5" customHeight="1">
      <c r="A43" s="22" t="s">
        <v>29</v>
      </c>
      <c r="B43" s="11" t="s">
        <v>86</v>
      </c>
      <c r="C43" s="21">
        <v>129699</v>
      </c>
      <c r="D43" s="21">
        <v>185084</v>
      </c>
      <c r="E43" s="14">
        <f>C43+D43</f>
        <v>314783</v>
      </c>
      <c r="F43" s="14"/>
      <c r="G43" s="14"/>
      <c r="H43" s="14">
        <f t="shared" si="19"/>
        <v>314783</v>
      </c>
      <c r="I43" s="14">
        <f t="shared" si="20"/>
        <v>9569.4032000000007</v>
      </c>
      <c r="J43" s="14">
        <f t="shared" si="21"/>
        <v>12455.132282879998</v>
      </c>
      <c r="K43" s="14">
        <f t="shared" si="22"/>
        <v>336807.53548288002</v>
      </c>
      <c r="L43" s="14"/>
      <c r="M43" s="14"/>
      <c r="N43" s="24">
        <f t="shared" si="23"/>
        <v>336807.53548288002</v>
      </c>
      <c r="O43" s="14">
        <f t="shared" si="28" ref="O43">ROUND((K43+L43+M43)*0.03,2)</f>
        <v>10104.23</v>
      </c>
      <c r="P43" s="24">
        <f t="shared" si="29" ref="P43">K43+L43+M43+O43</f>
        <v>346911.76548288</v>
      </c>
      <c r="Q43" s="14">
        <f t="shared" si="26"/>
        <v>69382.350000000006</v>
      </c>
      <c r="R43" s="24">
        <f t="shared" si="30" ref="R43">P43+Q43</f>
        <v>416294.11548288004</v>
      </c>
      <c r="S43" s="13">
        <v>69382.350000000006</v>
      </c>
    </row>
    <row r="44" spans="1:19" s="8" customFormat="1" ht="24.75" customHeight="1">
      <c r="A44" s="22" t="s">
        <v>30</v>
      </c>
      <c r="B44" s="11" t="s">
        <v>87</v>
      </c>
      <c r="C44" s="14">
        <v>31875</v>
      </c>
      <c r="D44" s="14">
        <v>1671486</v>
      </c>
      <c r="E44" s="14">
        <f t="shared" si="18"/>
        <v>1703361</v>
      </c>
      <c r="F44" s="14">
        <v>1166</v>
      </c>
      <c r="G44" s="14"/>
      <c r="H44" s="14">
        <f t="shared" si="19"/>
        <v>1704527</v>
      </c>
      <c r="I44" s="14">
        <f t="shared" si="20"/>
        <v>51782.174400000004</v>
      </c>
      <c r="J44" s="14">
        <f t="shared" si="21"/>
        <v>67397.497896959991</v>
      </c>
      <c r="K44" s="14">
        <f t="shared" si="22"/>
        <v>1823706.6722969599</v>
      </c>
      <c r="L44" s="14"/>
      <c r="M44" s="14"/>
      <c r="N44" s="24">
        <f t="shared" si="23"/>
        <v>1823706.6722969599</v>
      </c>
      <c r="O44" s="14">
        <f t="shared" si="24"/>
        <v>54711.199999999997</v>
      </c>
      <c r="P44" s="24">
        <f t="shared" si="25"/>
        <v>1878417.8722969599</v>
      </c>
      <c r="Q44" s="14">
        <f t="shared" si="26"/>
        <v>375683.57000000001</v>
      </c>
      <c r="R44" s="24">
        <f t="shared" si="27"/>
        <v>2254101.4422969599</v>
      </c>
      <c r="S44" s="13">
        <v>375683.57000000001</v>
      </c>
    </row>
    <row r="45" spans="1:19" s="8" customFormat="1" ht="24.75" customHeight="1">
      <c r="A45" s="22" t="s">
        <v>71</v>
      </c>
      <c r="B45" s="11" t="s">
        <v>89</v>
      </c>
      <c r="C45" s="14"/>
      <c r="D45" s="14"/>
      <c r="E45" s="14"/>
      <c r="F45" s="14"/>
      <c r="G45" s="14">
        <v>117863</v>
      </c>
      <c r="H45" s="14">
        <f t="shared" si="19"/>
        <v>117863</v>
      </c>
      <c r="I45" s="14"/>
      <c r="J45" s="14"/>
      <c r="K45" s="14">
        <f t="shared" si="22"/>
        <v>117863</v>
      </c>
      <c r="L45" s="14"/>
      <c r="M45" s="14"/>
      <c r="N45" s="24">
        <f t="shared" si="23"/>
        <v>117863</v>
      </c>
      <c r="O45" s="14">
        <f t="shared" si="24"/>
        <v>3535.8899999999999</v>
      </c>
      <c r="P45" s="24">
        <f t="shared" si="25"/>
        <v>121398.89</v>
      </c>
      <c r="Q45" s="14">
        <f t="shared" si="26"/>
        <v>24279.779999999999</v>
      </c>
      <c r="R45" s="24">
        <f t="shared" si="27"/>
        <v>145678.66999999998</v>
      </c>
      <c r="S45" s="13">
        <v>24279.779999999999</v>
      </c>
    </row>
    <row r="46" spans="1:19" s="8" customFormat="1" ht="50.25" customHeight="1">
      <c r="A46" s="22" t="s">
        <v>72</v>
      </c>
      <c r="B46" s="11" t="s">
        <v>90</v>
      </c>
      <c r="C46" s="14"/>
      <c r="D46" s="14"/>
      <c r="E46" s="14"/>
      <c r="F46" s="14"/>
      <c r="G46" s="14">
        <v>427403</v>
      </c>
      <c r="H46" s="14">
        <f t="shared" si="19"/>
        <v>427403</v>
      </c>
      <c r="I46" s="14"/>
      <c r="J46" s="14"/>
      <c r="K46" s="14">
        <f t="shared" si="22"/>
        <v>427403</v>
      </c>
      <c r="L46" s="14"/>
      <c r="M46" s="14"/>
      <c r="N46" s="24">
        <f t="shared" si="23"/>
        <v>427403</v>
      </c>
      <c r="O46" s="14">
        <f t="shared" si="24"/>
        <v>12822.09</v>
      </c>
      <c r="P46" s="24">
        <f t="shared" si="25"/>
        <v>440225.09000000003</v>
      </c>
      <c r="Q46" s="14">
        <f t="shared" si="26"/>
        <v>88045.020000000004</v>
      </c>
      <c r="R46" s="24">
        <f t="shared" si="27"/>
        <v>528270.10999999999</v>
      </c>
      <c r="S46" s="13">
        <v>88045.020000000004</v>
      </c>
    </row>
    <row r="47" spans="1:19" s="8" customFormat="1" ht="24.75" customHeight="1">
      <c r="A47" s="22" t="s">
        <v>73</v>
      </c>
      <c r="B47" s="11" t="s">
        <v>74</v>
      </c>
      <c r="C47" s="14"/>
      <c r="D47" s="14"/>
      <c r="E47" s="14"/>
      <c r="F47" s="14"/>
      <c r="G47" s="14">
        <v>4182</v>
      </c>
      <c r="H47" s="14">
        <f t="shared" si="19"/>
        <v>4182</v>
      </c>
      <c r="I47" s="14"/>
      <c r="J47" s="14"/>
      <c r="K47" s="14">
        <f t="shared" si="22"/>
        <v>4182</v>
      </c>
      <c r="L47" s="14"/>
      <c r="M47" s="14"/>
      <c r="N47" s="24">
        <f t="shared" si="23"/>
        <v>4182</v>
      </c>
      <c r="O47" s="14">
        <f t="shared" si="24"/>
        <v>125.45999999999999</v>
      </c>
      <c r="P47" s="24">
        <f t="shared" si="25"/>
        <v>4307.46</v>
      </c>
      <c r="Q47" s="14">
        <f t="shared" si="26"/>
        <v>861.49000000000001</v>
      </c>
      <c r="R47" s="24">
        <f t="shared" si="27"/>
        <v>5168.9499999999998</v>
      </c>
      <c r="S47" s="13">
        <v>861.49000000000001</v>
      </c>
    </row>
    <row r="48" spans="1:19" s="8" customFormat="1" ht="24.75" customHeight="1">
      <c r="A48" s="22" t="s">
        <v>88</v>
      </c>
      <c r="B48" s="11" t="s">
        <v>91</v>
      </c>
      <c r="C48" s="14"/>
      <c r="D48" s="14"/>
      <c r="E48" s="14"/>
      <c r="F48" s="14"/>
      <c r="G48" s="14">
        <v>2255734</v>
      </c>
      <c r="H48" s="14">
        <f t="shared" si="19"/>
        <v>2255734</v>
      </c>
      <c r="I48" s="14"/>
      <c r="J48" s="14"/>
      <c r="K48" s="14">
        <f t="shared" si="22"/>
        <v>2255734</v>
      </c>
      <c r="L48" s="14"/>
      <c r="M48" s="14"/>
      <c r="N48" s="24">
        <f t="shared" si="23"/>
        <v>2255734</v>
      </c>
      <c r="O48" s="14">
        <f t="shared" si="24"/>
        <v>67672.020000000004</v>
      </c>
      <c r="P48" s="24">
        <f t="shared" si="25"/>
        <v>2323406.02</v>
      </c>
      <c r="Q48" s="14">
        <f t="shared" si="26"/>
        <v>464681.20000000001</v>
      </c>
      <c r="R48" s="24">
        <f t="shared" si="27"/>
        <v>2788087.2200000002</v>
      </c>
      <c r="S48" s="13">
        <v>464681.20000000001</v>
      </c>
    </row>
    <row r="49" spans="1:20" s="8" customFormat="1" ht="15">
      <c r="A49" s="35" t="s">
        <v>79</v>
      </c>
      <c r="B49" s="35"/>
      <c r="C49" s="15">
        <f>SUM(C39:C48)</f>
        <v>1386905</v>
      </c>
      <c r="D49" s="15">
        <f t="shared" si="31" ref="D49:E49">SUM(D39:D48)</f>
        <v>4472856</v>
      </c>
      <c r="E49" s="15">
        <f t="shared" si="31"/>
        <v>5859761</v>
      </c>
      <c r="F49" s="15">
        <f t="shared" si="32" ref="F49">SUM(F39:F48)</f>
        <v>42131395</v>
      </c>
      <c r="G49" s="15">
        <f t="shared" si="33" ref="G49">SUM(G39:G48)</f>
        <v>2805182</v>
      </c>
      <c r="H49" s="15">
        <f>SUM(H39:H48)</f>
        <v>50796338</v>
      </c>
      <c r="I49" s="15">
        <f t="shared" si="34" ref="I49:O49">SUM(I39:I48)</f>
        <v>178136.73440000002</v>
      </c>
      <c r="J49" s="15">
        <f>SUM(J39:J48)</f>
        <v>231855.27300095995</v>
      </c>
      <c r="K49" s="15">
        <f t="shared" si="34"/>
        <v>51206330.003175035</v>
      </c>
      <c r="L49" s="15">
        <f t="shared" si="34"/>
        <v>0</v>
      </c>
      <c r="M49" s="15">
        <f t="shared" si="34"/>
        <v>0</v>
      </c>
      <c r="N49" s="23">
        <f t="shared" si="34"/>
        <v>51206330.003175035</v>
      </c>
      <c r="O49" s="15">
        <f t="shared" si="34"/>
        <v>1536189.8999999999</v>
      </c>
      <c r="P49" s="23">
        <f>SUM(P39:P48)</f>
        <v>52742519.903175041</v>
      </c>
      <c r="Q49" s="23">
        <f>SUM(Q39:Q48)</f>
        <v>10548503.969999999</v>
      </c>
      <c r="R49" s="23">
        <f>SUM(R39:R48)</f>
        <v>63291023.87317504</v>
      </c>
      <c r="S49" s="32">
        <f>SUM(S39:S48)</f>
        <v>10548503.969999999</v>
      </c>
      <c r="T49" s="30">
        <f>P49+S49</f>
        <v>63291023.87317504</v>
      </c>
    </row>
    <row r="50" spans="3:18" ht="15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spans="1:20" ht="24.75" customHeight="1">
      <c r="A51" s="36" t="s">
        <v>12</v>
      </c>
      <c r="B51" s="36"/>
      <c r="C51" s="17">
        <f t="shared" si="35" ref="C51:D51">C37+C49</f>
        <v>72325513</v>
      </c>
      <c r="D51" s="17">
        <f t="shared" si="35"/>
        <v>24868394</v>
      </c>
      <c r="E51" s="17">
        <f>E37+E49</f>
        <v>97193907</v>
      </c>
      <c r="F51" s="17">
        <f t="shared" si="36" ref="F51:Q51">F37+F49</f>
        <v>102607284</v>
      </c>
      <c r="G51" s="17">
        <f t="shared" si="36"/>
        <v>3301964</v>
      </c>
      <c r="H51" s="17">
        <f t="shared" si="36"/>
        <v>203103155</v>
      </c>
      <c r="I51" s="17">
        <f t="shared" si="36"/>
        <v>2954694.7711999989</v>
      </c>
      <c r="J51" s="17">
        <f t="shared" si="36"/>
        <v>3845706.2991660791</v>
      </c>
      <c r="K51" s="17">
        <f t="shared" si="36"/>
        <v>209903556.07614017</v>
      </c>
      <c r="L51" s="17">
        <f t="shared" si="36"/>
        <v>-6926202</v>
      </c>
      <c r="M51" s="17">
        <f t="shared" si="36"/>
        <v>-14002369</v>
      </c>
      <c r="N51" s="23">
        <f t="shared" si="36"/>
        <v>188974985.07614017</v>
      </c>
      <c r="O51" s="17">
        <f t="shared" si="36"/>
        <v>5669249.5473889522</v>
      </c>
      <c r="P51" s="23">
        <f t="shared" si="36"/>
        <v>194644234.62352908</v>
      </c>
      <c r="Q51" s="23">
        <f t="shared" si="36"/>
        <v>38928846.914070815</v>
      </c>
      <c r="R51" s="23">
        <f>R37+R49-0.01</f>
        <v>233573081.52759993</v>
      </c>
      <c r="T51" s="34">
        <f>SUM(T37:T49)</f>
        <v>233573080.5335291</v>
      </c>
    </row>
    <row r="53" spans="1:18" ht="25.5" customHeight="1">
      <c r="A53" s="44"/>
      <c r="B53" s="44"/>
      <c r="C53" s="44"/>
      <c r="D53" s="44"/>
      <c r="E53" s="44" t="s">
        <v>93</v>
      </c>
      <c r="F53" s="44"/>
      <c r="G53" s="44"/>
      <c r="H53" s="44"/>
      <c r="I53" s="44"/>
      <c r="J53" s="44"/>
      <c r="K53" s="44" t="s">
        <v>94</v>
      </c>
      <c r="L53" s="44"/>
      <c r="M53" s="44"/>
      <c r="N53" s="44"/>
      <c r="O53" s="44"/>
      <c r="P53" s="44"/>
      <c r="Q53" s="44"/>
      <c r="R53" s="44"/>
    </row>
    <row r="54" spans="1:18" s="0" customFormat="1" ht="23.2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5" spans="1:18" s="0" customFormat="1" ht="14.25" customHeight="1">
      <c r="A55" s="44"/>
      <c r="B55" s="44"/>
      <c r="C55" s="44"/>
      <c r="D55" s="44"/>
      <c r="E55" s="44" t="s">
        <v>95</v>
      </c>
      <c r="F55" s="44"/>
      <c r="G55" s="44"/>
      <c r="H55" s="44"/>
      <c r="I55" s="44"/>
      <c r="J55" s="44"/>
      <c r="K55" s="47" t="s">
        <v>97</v>
      </c>
      <c r="L55" s="47"/>
      <c r="M55" s="47"/>
      <c r="N55" s="44"/>
      <c r="O55" s="44"/>
      <c r="P55" s="44"/>
      <c r="Q55" s="44"/>
      <c r="R55" s="44"/>
    </row>
    <row r="56" spans="1:18" s="0" customFormat="1" ht="34.5" customHeight="1">
      <c r="A56" s="45"/>
      <c r="B56" s="45"/>
      <c r="C56" s="45"/>
      <c r="D56" s="45"/>
      <c r="E56" s="44" t="s">
        <v>96</v>
      </c>
      <c r="F56" s="44"/>
      <c r="G56" s="44"/>
      <c r="H56" s="44"/>
      <c r="I56" s="44"/>
      <c r="J56" s="44"/>
      <c r="K56" s="44" t="s">
        <v>98</v>
      </c>
      <c r="L56" s="44"/>
      <c r="M56" s="44"/>
      <c r="N56" s="45"/>
      <c r="O56" s="45"/>
      <c r="P56" s="45"/>
      <c r="Q56" s="45"/>
      <c r="R56" s="45"/>
    </row>
    <row r="57" spans="1:18" s="0" customFormat="1" ht="34.5" customHeight="1">
      <c r="A57" s="31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31"/>
      <c r="R57" s="31"/>
    </row>
    <row r="58" spans="1:18" s="0" customFormat="1" ht="14.2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</row>
    <row r="59" spans="1:18" s="0" customFormat="1" ht="8.25" customHeight="1">
      <c r="A59" s="3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31"/>
      <c r="R59" s="31"/>
    </row>
    <row r="60" spans="1:18" s="0" customFormat="1" ht="23.2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</row>
    <row r="61" spans="1:18" s="0" customFormat="1" ht="14.2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</row>
    <row r="62" spans="1:18" s="0" customFormat="1" ht="8.25" customHeight="1" hidden="1">
      <c r="A62" s="3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31"/>
      <c r="R62" s="31"/>
    </row>
    <row r="63" spans="1:18" s="0" customFormat="1" ht="17.25" customHeight="1" hidden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</row>
    <row r="64" spans="1:18" s="0" customFormat="1" ht="14.25" customHeight="1" hidden="1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1:18" s="0" customFormat="1" ht="8.25" customHeight="1">
      <c r="A65" s="3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31"/>
      <c r="R65" s="31"/>
    </row>
    <row r="66" spans="1:18" s="0" customFormat="1" ht="23.2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</row>
    <row r="67" spans="1:18" s="0" customFormat="1" ht="14.25" customHeight="1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</row>
    <row r="68" spans="7:7" ht="15">
      <c r="G68" s="2"/>
    </row>
  </sheetData>
  <mergeCells count="19">
    <mergeCell ref="A60:R60"/>
    <mergeCell ref="A63:R63"/>
    <mergeCell ref="A66:R66"/>
    <mergeCell ref="A58:R58"/>
    <mergeCell ref="A61:R61"/>
    <mergeCell ref="A64:R64"/>
    <mergeCell ref="B57:P57"/>
    <mergeCell ref="K55:M55"/>
    <mergeCell ref="A67:R67"/>
    <mergeCell ref="B62:P62"/>
    <mergeCell ref="B65:P65"/>
    <mergeCell ref="B59:P59"/>
    <mergeCell ref="A37:B37"/>
    <mergeCell ref="A49:B49"/>
    <mergeCell ref="A51:B51"/>
    <mergeCell ref="A4:R4"/>
    <mergeCell ref="A5:R5"/>
    <mergeCell ref="A6:R6"/>
    <mergeCell ref="A1:R2"/>
  </mergeCells>
  <printOptions horizontalCentered="1"/>
  <pageMargins left="0.118110236220472" right="0.118110236220472" top="0.354330708661417" bottom="0.15748031496063" header="0.31496062992126" footer="0.31496062992126"/>
  <pageSetup fitToHeight="0" orientation="landscape" paperSize="9" scale="63" r:id="rId1"/>
  <headerFooter>
    <oddFooter>&amp;L&amp;"Tahoma, Regular"&amp;K000000Рег. номер WSS Docs: Проект-Д-ТбФС-116205</oddFooter>
  </headerFooter>
  <rowBreaks count="1" manualBreakCount="1">
    <brk id="30" max="17" man="1"/>
  </rowBreaks>
  <ignoredErrors>
    <ignoredError sqref="J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2022-11-30T08:58:07Z</dcterms:modified>
  <cp:category/>
</cp:coreProperties>
</file>